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Tabell1" sheetId="1" r:id="rId1"/>
    <sheet name="Tabell2" sheetId="2" r:id="rId2"/>
    <sheet name="Tabell3" sheetId="3" r:id="rId3"/>
  </sheets>
  <definedNames>
    <definedName name="first">'Tabell1'!$A$7</definedName>
    <definedName name="second">'Tabell1'!$B$7</definedName>
    <definedName name="edone">'Tabell1'!$A$41</definedName>
    <definedName name="edthree">'Tabell1'!$C$41</definedName>
    <definedName name="edtwo">'Tabell1'!$B$41</definedName>
  </definedNames>
  <calcPr fullCalcOnLoad="1"/>
</workbook>
</file>

<file path=xl/sharedStrings.xml><?xml version="1.0" encoding="utf-8"?>
<sst xmlns="http://schemas.openxmlformats.org/spreadsheetml/2006/main" count="118" uniqueCount="106">
  <si>
    <t>Interactive Character calculation sheet</t>
  </si>
  <si>
    <t>For Lost Roads of Lociam</t>
  </si>
  <si>
    <t>Only fill out boxes with frames, and the form does the rest. Easy! (Remember, a roll of of 10 a D10 has to be written out as a “10”)</t>
  </si>
  <si>
    <t>People</t>
  </si>
  <si>
    <t>Second</t>
  </si>
  <si>
    <t>Raceroll (D100)</t>
  </si>
  <si>
    <t>Race</t>
  </si>
  <si>
    <t>Age</t>
  </si>
  <si>
    <t>Age-roll (D10)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</si>
  <si>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age-roll</t>
    </r>
  </si>
  <si>
    <t>Skillpoints</t>
  </si>
  <si>
    <t>Roll</t>
  </si>
  <si>
    <t>Race mod</t>
  </si>
  <si>
    <t>Age mod</t>
  </si>
  <si>
    <t>Value</t>
  </si>
  <si>
    <t>Easy</t>
  </si>
  <si>
    <t>Normal</t>
  </si>
  <si>
    <t>Difficult</t>
  </si>
  <si>
    <t>Critical</t>
  </si>
  <si>
    <t>Strength</t>
  </si>
  <si>
    <t>Dexterity</t>
  </si>
  <si>
    <t>Speed</t>
  </si>
  <si>
    <t>Constitution</t>
  </si>
  <si>
    <t>Wisdom</t>
  </si>
  <si>
    <t>Perception</t>
  </si>
  <si>
    <t>Charisma</t>
  </si>
  <si>
    <t>Mana</t>
  </si>
  <si>
    <t>Health</t>
  </si>
  <si>
    <t>Alertness</t>
  </si>
  <si>
    <t>Bonus (Alertness)</t>
  </si>
  <si>
    <t>Cool</t>
  </si>
  <si>
    <t>Carry</t>
  </si>
  <si>
    <t>Bonus (Carry)</t>
  </si>
  <si>
    <t>Sway</t>
  </si>
  <si>
    <t>Damage-mod</t>
  </si>
  <si>
    <t>Initiative</t>
  </si>
  <si>
    <t>Bonus (Initiative)</t>
  </si>
  <si>
    <t>Movement</t>
  </si>
  <si>
    <t>Bonus (Movement)</t>
  </si>
  <si>
    <t>Common Sense</t>
  </si>
  <si>
    <t>Bonus (Common Sense)</t>
  </si>
  <si>
    <t>Age-mod</t>
  </si>
  <si>
    <t>Memory</t>
  </si>
  <si>
    <t>Bonus (Memory)</t>
  </si>
  <si>
    <t>Karma</t>
  </si>
  <si>
    <t>May be affected by education if Monk, Priest or Paladin.</t>
  </si>
  <si>
    <r>
      <t>Education</t>
    </r>
    <r>
      <rPr>
        <sz val="10"/>
        <rFont val="Arial"/>
        <family val="2"/>
      </rPr>
      <t xml:space="preserve"> (1D100)</t>
    </r>
  </si>
  <si>
    <t>(normal)</t>
  </si>
  <si>
    <t>(high-powered)</t>
  </si>
  <si>
    <t>Fathom</t>
  </si>
  <si>
    <t>General</t>
  </si>
  <si>
    <t>MANX10 meters</t>
  </si>
  <si>
    <t>Focused</t>
  </si>
  <si>
    <t>MANx2, MAN/2 meters</t>
  </si>
  <si>
    <t>Searching</t>
  </si>
  <si>
    <t>MANX100 meters</t>
  </si>
  <si>
    <r>
      <t>Magical Talent</t>
    </r>
    <r>
      <rPr>
        <sz val="10"/>
        <rFont val="Arial"/>
        <family val="2"/>
      </rPr>
      <t xml:space="preserve"> (Roll 1D10)</t>
    </r>
  </si>
  <si>
    <t>Talent</t>
  </si>
  <si>
    <t>Skill</t>
  </si>
  <si>
    <t>Attribute</t>
  </si>
  <si>
    <t>Education</t>
  </si>
  <si>
    <t>Base</t>
  </si>
  <si>
    <r>
      <t>Cost per 5%</t>
    </r>
    <r>
      <rPr>
        <sz val="10"/>
        <rFont val="Arial"/>
        <family val="2"/>
      </rPr>
      <t xml:space="preserve"> (up to 50%)</t>
    </r>
  </si>
  <si>
    <t>Knowledges</t>
  </si>
  <si>
    <t>Lower Magic</t>
  </si>
  <si>
    <t>Activity</t>
  </si>
  <si>
    <t>Native language – 3 levels</t>
  </si>
  <si>
    <t>Camouflage</t>
  </si>
  <si>
    <t>Native culture</t>
  </si>
  <si>
    <t>First Aid</t>
  </si>
  <si>
    <t>Hide</t>
  </si>
  <si>
    <t>Ride</t>
  </si>
  <si>
    <t>Search</t>
  </si>
  <si>
    <t>Sneak</t>
  </si>
  <si>
    <t>Swimming</t>
  </si>
  <si>
    <t>Animal Training</t>
  </si>
  <si>
    <t>Note points spent in this box</t>
  </si>
  <si>
    <t>Heraldry</t>
  </si>
  <si>
    <t>Points spent</t>
  </si>
  <si>
    <t>Pick Locks</t>
  </si>
  <si>
    <t>Points left</t>
  </si>
  <si>
    <t>Sleight of hands</t>
  </si>
  <si>
    <t>Tracking</t>
  </si>
  <si>
    <t>Traps</t>
  </si>
  <si>
    <t>Escapology</t>
  </si>
  <si>
    <t>-</t>
  </si>
  <si>
    <t>Games</t>
  </si>
  <si>
    <t>Medicine</t>
  </si>
  <si>
    <t>Stalking</t>
  </si>
  <si>
    <t>Tactics</t>
  </si>
  <si>
    <t>Arcane</t>
  </si>
  <si>
    <t>Sphere</t>
  </si>
  <si>
    <t>Brawl</t>
  </si>
  <si>
    <t>Combination</t>
  </si>
  <si>
    <t>Evade</t>
  </si>
  <si>
    <t>Dodge</t>
  </si>
  <si>
    <t>Fast-draw</t>
  </si>
  <si>
    <t>Shield</t>
  </si>
  <si>
    <t>Weapon</t>
  </si>
  <si>
    <r>
      <t>Social Status</t>
    </r>
    <r>
      <rPr>
        <sz val="10"/>
        <rFont val="Arial"/>
        <family val="2"/>
      </rPr>
      <t xml:space="preserve"> (Roll 1D10)</t>
    </r>
  </si>
  <si>
    <t>Status</t>
  </si>
  <si>
    <t>Moneyroll</t>
  </si>
  <si>
    <r>
      <t>Money</t>
    </r>
    <r>
      <rPr>
        <sz val="10"/>
        <rFont val="Arial"/>
        <family val="2"/>
      </rPr>
      <t xml:space="preserve"> (Silver)</t>
    </r>
    <r>
      <rPr>
        <b/>
        <sz val="10"/>
        <rFont val="Arial"/>
        <family val="2"/>
      </rPr>
      <t xml:space="preserve"> </t>
    </r>
  </si>
  <si>
    <t>(Plus bonuses. This includes roll, status and age)</t>
  </si>
  <si>
    <t>(First decimal is number of Bronze Coins, second Copper and third Tin)</t>
  </si>
  <si>
    <r>
      <t>Swordhand</t>
    </r>
    <r>
      <rPr>
        <sz val="10"/>
        <rFont val="Arial"/>
        <family val="2"/>
      </rPr>
      <t xml:space="preserve"> (2D10)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</si>
</sst>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2"/>
    </font>
    <font>
      <b/>
      <sz val="18"/>
      <name val="Bookman Old Style"/>
      <family val="1"/>
    </font>
    <font>
      <sz val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G15" sqref="G15"/>
    </sheetView>
  </sheetViews>
  <sheetFormatPr defaultColWidth="12.57421875" defaultRowHeight="12.75"/>
  <cols>
    <col min="1" max="1" width="11.57421875" style="0" customWidth="1"/>
    <col min="2" max="2" width="12.8515625" style="0" customWidth="1"/>
    <col min="3" max="7" width="11.57421875" style="0" customWidth="1"/>
    <col min="8" max="8" width="14.28125" style="0" customWidth="1"/>
    <col min="9" max="10" width="11.57421875" style="0" customWidth="1"/>
    <col min="11" max="11" width="11.421875" style="0" customWidth="1"/>
    <col min="12" max="16384" width="11.5742187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4" spans="1:9" ht="12.75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6" ht="12.75">
      <c r="A6" s="4" t="s">
        <v>3</v>
      </c>
      <c r="B6" t="s">
        <v>4</v>
      </c>
      <c r="C6" t="s">
        <v>5</v>
      </c>
      <c r="D6" s="5"/>
      <c r="E6" s="4" t="s">
        <v>6</v>
      </c>
      <c r="F6" s="6">
        <f>C7</f>
        <v>0</v>
      </c>
    </row>
    <row r="7" spans="1:3" ht="12.75" hidden="1">
      <c r="A7" s="6">
        <f>IF(D6=0,0,IF(D6&lt;20,"Bamfyver",IF(D6&lt;32,"Baufer",IF(D6&lt;45,"Kooger",IF(D6&lt;56,"Laaner",0)))))</f>
        <v>0</v>
      </c>
      <c r="B7" s="6">
        <f>IF(D6&gt;=91,"Salgod",IF(D6&gt;=82,"Obdin",IF(D6&gt;=76,"Napteri",IF(D6&gt;=68,"Mykier",IF(D6&gt;=56,"Liniek",0)))))</f>
        <v>0</v>
      </c>
      <c r="C7" s="6">
        <f>IF(A7=0,B7,A7)</f>
        <v>0</v>
      </c>
    </row>
    <row r="9" spans="1:9" ht="12.75">
      <c r="A9" t="s">
        <v>7</v>
      </c>
      <c r="B9" s="7">
        <f>IF(G9+B10=14,0,G9+B10)</f>
        <v>0</v>
      </c>
      <c r="C9" t="s">
        <v>8</v>
      </c>
      <c r="D9" s="5"/>
      <c r="E9" t="s">
        <v>9</v>
      </c>
      <c r="F9" s="7" t="str">
        <f>IF(A10="Young","1D10","2D10")</f>
        <v>2D10</v>
      </c>
      <c r="G9" s="5"/>
      <c r="H9" s="7" t="s">
        <v>10</v>
      </c>
      <c r="I9" s="7">
        <f>B9*3</f>
        <v>0</v>
      </c>
    </row>
    <row r="10" spans="1:2" ht="12.75" hidden="1">
      <c r="A10" s="6">
        <f>IF(D9=0,0,IF(D9&lt;4,"Young",IF(D9&lt;7,"Mature",IF(D9&lt;10,"Middle-age","Old"))))</f>
        <v>0</v>
      </c>
      <c r="B10" s="6">
        <f>IF(A10=0,0,IF(A10="Young",14,IF(A10="Mature",22,IF(A10="Middle-age",40,58))))</f>
        <v>0</v>
      </c>
    </row>
    <row r="13" spans="2:9" ht="12.75">
      <c r="B13" s="8" t="s">
        <v>11</v>
      </c>
      <c r="C13" s="8" t="s">
        <v>12</v>
      </c>
      <c r="D13" s="8" t="s">
        <v>13</v>
      </c>
      <c r="E13" s="8" t="s">
        <v>14</v>
      </c>
      <c r="F13" s="7" t="s">
        <v>15</v>
      </c>
      <c r="G13" s="7" t="s">
        <v>16</v>
      </c>
      <c r="H13" s="7" t="s">
        <v>17</v>
      </c>
      <c r="I13" s="7" t="s">
        <v>18</v>
      </c>
    </row>
    <row r="14" spans="1:9" ht="12.75">
      <c r="A14" s="4" t="s">
        <v>19</v>
      </c>
      <c r="B14" s="5"/>
      <c r="C14" s="7">
        <f>IF(C7="Bamfyver","-1",IF(C7="Laaner","+2",IF(C7="Liniek","-1",IF(C7="Napteri","+1",IF(C7="Salgod","+1",0)))))</f>
        <v>0</v>
      </c>
      <c r="D14" s="7">
        <f>IF(A10=0,0,IF(A10="Young","-1",IF(A10="Mature","0",IF(A10="Middle-age","-1","-3"))))</f>
        <v>0</v>
      </c>
      <c r="E14" s="8">
        <f>B14+C14+D14</f>
        <v>0</v>
      </c>
      <c r="F14" s="7">
        <f>(E14)*7</f>
        <v>0</v>
      </c>
      <c r="G14" s="7">
        <f>(E14)*5</f>
        <v>0</v>
      </c>
      <c r="H14" s="7">
        <f>(E14)*3</f>
        <v>0</v>
      </c>
      <c r="I14" s="7">
        <f>(E14)</f>
        <v>0</v>
      </c>
    </row>
    <row r="15" spans="1:9" ht="12.75">
      <c r="A15" s="4" t="s">
        <v>20</v>
      </c>
      <c r="B15" s="5"/>
      <c r="C15" s="7">
        <f>IF(C7="Kooger","+1",IF(C7="Baufer","+1",IF(C7="Mykier","-1",IF(C7="Napteri","-1",0))))</f>
        <v>0</v>
      </c>
      <c r="D15" s="7">
        <f>IF(A10=0,0,IF(A10="Young","+1",IF(A10="Mature","0",IF(A10="Middle-age","0","-2"))))</f>
        <v>0</v>
      </c>
      <c r="E15" s="8">
        <f>B15+C15+D15</f>
        <v>0</v>
      </c>
      <c r="F15" s="7">
        <f>(E15)*7</f>
        <v>0</v>
      </c>
      <c r="G15" s="7">
        <f>(E15)*5</f>
        <v>0</v>
      </c>
      <c r="H15" s="7">
        <f>(E15)*3</f>
        <v>0</v>
      </c>
      <c r="I15" s="7">
        <f>(E15)</f>
        <v>0</v>
      </c>
    </row>
    <row r="16" spans="1:9" ht="12.75">
      <c r="A16" s="4" t="s">
        <v>21</v>
      </c>
      <c r="B16" s="5"/>
      <c r="C16" s="7">
        <f>IF(C7="Laaner","-1",IF(C7="Liniek","+1",IF(C7="Mykier=","-1",IF(C7="Napteri","-1",0))))</f>
        <v>0</v>
      </c>
      <c r="D16" s="7">
        <f>IF(A10=0,0,IF(A10="Young","+2",IF(A10="Mature","+1",IF(A10="Middle-age","0","-2"))))</f>
        <v>0</v>
      </c>
      <c r="E16" s="8">
        <f>B16+C16+D16</f>
        <v>0</v>
      </c>
      <c r="F16" s="7">
        <f>(E16)*7</f>
        <v>0</v>
      </c>
      <c r="G16" s="7">
        <f>(E16)*5</f>
        <v>0</v>
      </c>
      <c r="H16" s="7">
        <f>(E16)*3</f>
        <v>0</v>
      </c>
      <c r="I16" s="7">
        <f>(E16)</f>
        <v>0</v>
      </c>
    </row>
    <row r="17" spans="1:9" ht="12.75">
      <c r="A17" s="4" t="s">
        <v>22</v>
      </c>
      <c r="B17" s="5"/>
      <c r="C17" s="7">
        <f>IF(C7="Laaner","+1",IF(C7="Mykier","+1",IF(C7="Napteri","+2",IF(C7="Obdin","+2",IF(C7="Salgod","+1",0)))))</f>
        <v>0</v>
      </c>
      <c r="D17" s="7">
        <f>IF(A10=0,0,IF(A10="Young","+1",IF(A10="Mature","0",IF(A10="Middle-age","+1","-3"))))</f>
        <v>0</v>
      </c>
      <c r="E17" s="8">
        <f>B17+C17+D17</f>
        <v>0</v>
      </c>
      <c r="F17" s="7">
        <f>(E17)*7</f>
        <v>0</v>
      </c>
      <c r="G17" s="7">
        <f>(E17)*5</f>
        <v>0</v>
      </c>
      <c r="H17" s="7">
        <f>(E17)*3</f>
        <v>0</v>
      </c>
      <c r="I17" s="7">
        <f>(E17)</f>
        <v>0</v>
      </c>
    </row>
    <row r="18" spans="1:9" ht="12.75">
      <c r="A18" s="4" t="s">
        <v>23</v>
      </c>
      <c r="B18" s="5"/>
      <c r="C18" s="7">
        <f>IF(C7="Laaner","-1",IF(C7="Baufer","+1",0))</f>
        <v>0</v>
      </c>
      <c r="D18" s="7">
        <f>IF(A10=0,0,IF(A10="Young","-1",IF(A10="Mature","0",IF(A10="Middle-age","+1","+3"))))</f>
        <v>0</v>
      </c>
      <c r="E18" s="8">
        <f>B18+C18+D18</f>
        <v>0</v>
      </c>
      <c r="F18" s="7">
        <f>(E18)*7</f>
        <v>0</v>
      </c>
      <c r="G18" s="7">
        <f>(E18)*5</f>
        <v>0</v>
      </c>
      <c r="H18" s="7">
        <f>(E18)*3</f>
        <v>0</v>
      </c>
      <c r="I18" s="7">
        <f>(E18)</f>
        <v>0</v>
      </c>
    </row>
    <row r="19" spans="1:9" ht="12.75">
      <c r="A19" s="4" t="s">
        <v>24</v>
      </c>
      <c r="B19" s="5"/>
      <c r="C19" s="7">
        <f>IF(C7="Bamfyver","+1",IF(C7="Kooger","+1",IF(C7="Liniek","+1",IF(C7="Napteri","+1",IF(C7="Obdin","+1",0)))))</f>
        <v>0</v>
      </c>
      <c r="D19" s="7" t="str">
        <f>IF(A10="Young","0",IF(A10="Mature","+1",IF(A10="Middle-age","+1","0")))</f>
        <v>0</v>
      </c>
      <c r="E19" s="8">
        <f>B19+C19+D19</f>
        <v>0</v>
      </c>
      <c r="F19" s="7">
        <f>(E19)*7</f>
        <v>0</v>
      </c>
      <c r="G19" s="7">
        <f>(E19)*5</f>
        <v>0</v>
      </c>
      <c r="H19" s="7">
        <f>(E19)*3</f>
        <v>0</v>
      </c>
      <c r="I19" s="7">
        <f>(E19)</f>
        <v>0</v>
      </c>
    </row>
    <row r="20" spans="1:9" ht="12.75">
      <c r="A20" s="4" t="s">
        <v>25</v>
      </c>
      <c r="B20" s="5"/>
      <c r="C20" s="7">
        <f>IF(C7="Bamfyver","+2",IF(C7="Laaner","-1",IF(C7="Liniek","+1",IF(C7="Obdin","-1",0))))</f>
        <v>0</v>
      </c>
      <c r="D20" s="7">
        <f>IF(A10=0,0,IF(A10="Young","+1",IF(A10="Mature","+2",IF(A10="Middle-age","+1","0"))))</f>
        <v>0</v>
      </c>
      <c r="E20" s="8">
        <f>B20+C20+D20</f>
        <v>0</v>
      </c>
      <c r="F20" s="7">
        <f>(E20)*7</f>
        <v>0</v>
      </c>
      <c r="G20" s="7">
        <f>(E20)*5</f>
        <v>0</v>
      </c>
      <c r="H20" s="7">
        <f>(E20)*3</f>
        <v>0</v>
      </c>
      <c r="I20" s="7">
        <f>(E20)</f>
        <v>0</v>
      </c>
    </row>
    <row r="21" spans="1:9" ht="12.75">
      <c r="A21" s="4" t="s">
        <v>26</v>
      </c>
      <c r="B21" s="5"/>
      <c r="C21" s="7">
        <f>IF(C7="Mykier","+3",0)</f>
        <v>0</v>
      </c>
      <c r="D21" s="7">
        <f>IF(A10=0,0,IF(A10="Young","-2",IF(A10="Mature","-1",IF(A10="Middle-age","+1","+3"))))</f>
        <v>0</v>
      </c>
      <c r="E21" s="8">
        <f>B21+C21+D21</f>
        <v>0</v>
      </c>
      <c r="F21" s="7">
        <f>(E21)*7</f>
        <v>0</v>
      </c>
      <c r="G21" s="7">
        <f>(E21)*5</f>
        <v>0</v>
      </c>
      <c r="H21" s="7">
        <f>(E21)*3</f>
        <v>0</v>
      </c>
      <c r="I21" s="7">
        <f>(E21)</f>
        <v>0</v>
      </c>
    </row>
    <row r="24" spans="1:7" ht="12.75">
      <c r="A24" s="4" t="s">
        <v>27</v>
      </c>
      <c r="B24" s="7">
        <f>(E17)*2</f>
        <v>0</v>
      </c>
      <c r="E24" s="4" t="s">
        <v>18</v>
      </c>
      <c r="F24" s="4" t="s">
        <v>17</v>
      </c>
      <c r="G24" s="4" t="s">
        <v>15</v>
      </c>
    </row>
    <row r="25" spans="1:11" ht="12.75">
      <c r="A25" s="4"/>
      <c r="B25" s="7"/>
      <c r="D25" s="4" t="s">
        <v>28</v>
      </c>
      <c r="E25" s="7">
        <f>INT(H37)</f>
        <v>0</v>
      </c>
      <c r="F25" s="7">
        <f>INT(I37)</f>
        <v>0</v>
      </c>
      <c r="G25" s="7">
        <f>(E19+K25)*5</f>
        <v>0</v>
      </c>
      <c r="I25" t="s">
        <v>29</v>
      </c>
      <c r="K25" s="5"/>
    </row>
    <row r="26" spans="1:2" ht="12.75">
      <c r="A26" s="4" t="s">
        <v>30</v>
      </c>
      <c r="B26" s="7">
        <f>(E17)*2</f>
        <v>0</v>
      </c>
    </row>
    <row r="27" spans="1:9" ht="12.75">
      <c r="A27" s="4"/>
      <c r="B27" s="7"/>
      <c r="D27" t="s">
        <v>31</v>
      </c>
      <c r="E27" s="7">
        <f>(E14)+I27</f>
        <v>0</v>
      </c>
      <c r="G27" t="s">
        <v>32</v>
      </c>
      <c r="I27" s="5"/>
    </row>
    <row r="28" spans="1:5" ht="12.75">
      <c r="A28" s="4" t="s">
        <v>33</v>
      </c>
      <c r="B28" s="7">
        <f>(E21)</f>
        <v>0</v>
      </c>
      <c r="D28" t="s">
        <v>34</v>
      </c>
      <c r="E28" s="7">
        <f>SUM(H38:L38)</f>
        <v>0</v>
      </c>
    </row>
    <row r="29" spans="4:9" ht="12.75">
      <c r="D29" t="s">
        <v>35</v>
      </c>
      <c r="E29" s="7">
        <f>INT(K37)</f>
        <v>0</v>
      </c>
      <c r="G29" t="s">
        <v>36</v>
      </c>
      <c r="I29" s="5"/>
    </row>
    <row r="30" spans="4:9" ht="12.75">
      <c r="D30" t="s">
        <v>37</v>
      </c>
      <c r="E30" s="7">
        <f>INT(M37)</f>
        <v>0</v>
      </c>
      <c r="G30" t="s">
        <v>38</v>
      </c>
      <c r="I30" s="5"/>
    </row>
    <row r="31" ht="12.75">
      <c r="E31" s="7"/>
    </row>
    <row r="32" spans="4:11" ht="12.75">
      <c r="D32" t="s">
        <v>39</v>
      </c>
      <c r="E32" s="7">
        <f>INT(J37)</f>
        <v>0</v>
      </c>
      <c r="G32" t="s">
        <v>40</v>
      </c>
      <c r="I32" s="5"/>
      <c r="J32" s="7" t="s">
        <v>41</v>
      </c>
      <c r="K32" s="7">
        <f>IF(A10=0,0,IF(A10="Young","-1",IF(A10="Mature",0,IF(A10="Middle-age","+2","+5"))))</f>
        <v>0</v>
      </c>
    </row>
    <row r="33" spans="4:11" ht="12.75">
      <c r="D33" t="s">
        <v>42</v>
      </c>
      <c r="E33" s="7">
        <f>INT(L37)</f>
        <v>0</v>
      </c>
      <c r="G33" t="s">
        <v>43</v>
      </c>
      <c r="I33" s="5"/>
      <c r="J33" s="7" t="s">
        <v>41</v>
      </c>
      <c r="K33" s="7">
        <f>IF(A10=0,0,IF(A10="Young","0",IF(A10="Mature","+1",IF(A10="Middle-age","0","1"))))</f>
        <v>0</v>
      </c>
    </row>
    <row r="34" spans="5:11" ht="12.75">
      <c r="E34" s="7"/>
      <c r="I34" s="5"/>
      <c r="J34" s="7"/>
      <c r="K34" s="7"/>
    </row>
    <row r="35" spans="1:4" ht="12.75">
      <c r="A35" s="4" t="s">
        <v>44</v>
      </c>
      <c r="B35" s="7">
        <f>IF(A10=0,0,IF(A10="Young","-1",IF(A10="Mature",0,IF(A10="Middle-age","+1","+2"))))</f>
        <v>0</v>
      </c>
      <c r="D35" t="s">
        <v>45</v>
      </c>
    </row>
    <row r="37" spans="4:13" ht="12.75" hidden="1">
      <c r="D37" s="6">
        <f>(E19)*2.5</f>
        <v>0</v>
      </c>
      <c r="E37" s="6">
        <f>INT(D37)</f>
        <v>0</v>
      </c>
      <c r="F37" s="6">
        <f>(E19)*5</f>
        <v>0</v>
      </c>
      <c r="G37" s="6">
        <f>(E19)*10</f>
        <v>0</v>
      </c>
      <c r="H37" s="6">
        <f>(E19+K25)*1.25</f>
        <v>0</v>
      </c>
      <c r="I37" s="6">
        <f>(E19+K25)*2.5</f>
        <v>0</v>
      </c>
      <c r="J37" s="6">
        <f>(E18+I32+K32)*2.5</f>
        <v>0</v>
      </c>
      <c r="K37" s="6">
        <f>(E16/4)+I29</f>
        <v>0</v>
      </c>
      <c r="L37" s="6">
        <f>(E19+I33+B18+K33)/2</f>
        <v>0</v>
      </c>
      <c r="M37" s="6">
        <f>(E16)+((B15)/2)+I30</f>
        <v>0</v>
      </c>
    </row>
    <row r="38" spans="8:12" ht="12.75" hidden="1">
      <c r="H38" s="6">
        <f>IF(E14&gt;20,3,0)</f>
        <v>0</v>
      </c>
      <c r="I38" s="6">
        <f>IF(E14=20,2,0)</f>
        <v>0</v>
      </c>
      <c r="J38" s="6">
        <f>IF(E14=19,2,0)</f>
        <v>0</v>
      </c>
      <c r="K38" s="6">
        <f>IF(E14=18,1,0)</f>
        <v>0</v>
      </c>
      <c r="L38" s="6">
        <f>IF(E14=17,1,0)</f>
        <v>0</v>
      </c>
    </row>
    <row r="40" spans="1:8" ht="12.75">
      <c r="A40" s="4" t="s">
        <v>46</v>
      </c>
      <c r="C40" s="5"/>
      <c r="D40" t="s">
        <v>47</v>
      </c>
      <c r="E40" s="5"/>
      <c r="F40" t="s">
        <v>48</v>
      </c>
      <c r="H40" s="8">
        <f>J42</f>
        <v>0</v>
      </c>
    </row>
    <row r="41" spans="1:7" ht="12.75" hidden="1">
      <c r="A41" s="6">
        <f>IF(C40=0,0,IF(C40&lt;4,"Paladin",IF(C40&lt;10,"Leader",IF(C40&lt;18,"Priest",IF(C40&lt;27,"Sage",IF(C40&lt;38,"Monk",IF(C40&lt;49,"Thief",0)))))))</f>
        <v>0</v>
      </c>
      <c r="B41" s="6">
        <f>IF(C40&lt;49,0,IF(C40&lt;59,"Warrior",IF(C40&lt;71,"Craftsman",IF(C40&lt;81,"Pathfinder",IF(C40&lt;91,"Courtesan",IF(C40&lt;96,"Healer",IF(C40&lt;98,"Demon-hunter",0)))))))</f>
        <v>0</v>
      </c>
      <c r="C41" s="6">
        <f>IF(C40&lt;98,0,IF(C40&lt;100,"Magician",IF(C40=100,"Roll twice (ignored if rolled again)",0)))</f>
        <v>0</v>
      </c>
      <c r="E41" s="6">
        <f>IF(E40=0,0,IF(E40&lt;8,"Paladin",IF(E40&lt;14,"Leader",IF(E40&lt;24,"Priest",IF(E40&lt;32,"Sage",IF(E40&lt;40,"Monk",IF(E40&lt;46,"Thief",0)))))))</f>
        <v>0</v>
      </c>
      <c r="F41" s="6">
        <f>IF(E40&lt;46,0,IF(E40&lt;53,"Warrior",IF(E40&lt;65,"Craftsman",IF(E40&lt;73,"Pathfinder",IF(E40&lt;80,"Courtesan",IF(E40&lt;89,"Healer",IF(E40&lt;95,"Demon-hunter",0)))))))</f>
        <v>0</v>
      </c>
      <c r="G41" s="6">
        <f>IF(E40&lt;95,0,IF(E40&lt;100,"Magician",IF(E40=100,"Roll twice (ignored if rolled again)",0)))</f>
        <v>0</v>
      </c>
    </row>
    <row r="42" spans="1:10" ht="12.75" hidden="1">
      <c r="A42" s="6">
        <f>IF(A41=0,B41,A41)</f>
        <v>0</v>
      </c>
      <c r="B42" s="6">
        <f>IF(B41=0,C41,B41)</f>
        <v>0</v>
      </c>
      <c r="C42" s="6">
        <f>IF(A42=0,B42,A42)</f>
        <v>0</v>
      </c>
      <c r="E42" s="6">
        <f>IF(E41=0,F41,E41)</f>
        <v>0</v>
      </c>
      <c r="F42" s="6">
        <f>IF(F41=0,G41,F41)</f>
        <v>0</v>
      </c>
      <c r="G42" s="6">
        <f>IF(E42=0,F42,E42)</f>
        <v>0</v>
      </c>
      <c r="J42" s="6">
        <f>IF(C42=0,G42,C42)</f>
        <v>0</v>
      </c>
    </row>
    <row r="44" spans="1:2" ht="12.75">
      <c r="A44" s="4" t="s">
        <v>49</v>
      </c>
      <c r="B44" s="7" t="str">
        <f>IF(E21&lt;1,"Non-Fathom",IF(E21&lt;7,"Open-Eyed",IF(E21&lt;13,"Looking",IF(E21&lt;18,"Seeing",IF(E21&lt;23,"Discovering","Understanding")))))</f>
        <v>Non-Fathom</v>
      </c>
    </row>
    <row r="45" spans="1:4" ht="12.75">
      <c r="A45" s="4" t="s">
        <v>50</v>
      </c>
      <c r="B45" s="7" t="str">
        <f>IF(B44="Non-Fathom","-",IF(B44="Open-Eyed",E37,IF(B44="Looking",F37,IF(B44="Seeing",F37,IF(B44="Discovering",G37,IF(B44="Understanding",G37))))))</f>
        <v>-</v>
      </c>
      <c r="D45" t="s">
        <v>51</v>
      </c>
    </row>
    <row r="46" spans="1:4" ht="12.75">
      <c r="A46" s="4" t="s">
        <v>52</v>
      </c>
      <c r="B46" s="7" t="str">
        <f>IF(B44="Non-Fathom","-",IF(B44="Open-Eyed","-",IF(B44="Looking","-",IF(B44="Seeing",E37,IF(B44="Discovering",F37,IF(B44="Understanding",F37))))))</f>
        <v>-</v>
      </c>
      <c r="D46" t="s">
        <v>53</v>
      </c>
    </row>
    <row r="47" spans="1:4" ht="12.75">
      <c r="A47" s="4" t="s">
        <v>54</v>
      </c>
      <c r="B47" s="7" t="str">
        <f>IF(B44="Non-Fathom","-",IF(B44="Open-Eyed","-",IF(B44="Looking","-",IF(B44="Seeing","-",IF(B44="Discovering",E37,IF(B44="Understanding",F37))))))</f>
        <v>-</v>
      </c>
      <c r="D47" t="s">
        <v>55</v>
      </c>
    </row>
    <row r="49" spans="1:5" ht="12.75">
      <c r="A49" s="4" t="s">
        <v>56</v>
      </c>
      <c r="C49" s="5"/>
      <c r="D49" s="8" t="s">
        <v>57</v>
      </c>
      <c r="E49" t="str">
        <f>IF(B50&lt;2,"Magically Inept",IF(B50&lt;4,"Magically Untrained",IF(B50&lt;7,"Magically Talented",IF(B50&lt;10,"Magically Gifted","Magically Enlightened"))))</f>
        <v>Magically Inept</v>
      </c>
    </row>
    <row r="50" spans="1:2" ht="12.75" hidden="1">
      <c r="A50" s="6">
        <f>IF(A10=0,0,IF(A10="Young","+1",IF(A10="Mature",0,IF(A10="Middle-age","+1","+2"))))</f>
        <v>0</v>
      </c>
      <c r="B50" s="6">
        <f>(A50+C49)</f>
        <v>0</v>
      </c>
    </row>
    <row r="53" spans="1:11" ht="12.75">
      <c r="A53" s="4" t="s">
        <v>58</v>
      </c>
      <c r="B53" s="4"/>
      <c r="C53" s="8" t="s">
        <v>59</v>
      </c>
      <c r="D53" s="8" t="s">
        <v>60</v>
      </c>
      <c r="E53" s="8" t="s">
        <v>61</v>
      </c>
      <c r="F53" s="8" t="s">
        <v>62</v>
      </c>
      <c r="G53" s="8"/>
      <c r="H53" s="4" t="s">
        <v>63</v>
      </c>
      <c r="K53" s="4" t="s">
        <v>64</v>
      </c>
    </row>
    <row r="54" spans="1:13" ht="12.75">
      <c r="A54" t="s">
        <v>65</v>
      </c>
      <c r="C54" s="7">
        <f>FLOOR(E14+E15,5)</f>
        <v>0</v>
      </c>
      <c r="D54" s="7">
        <f>IF(H40="Courtesan","+25",IF(H40="Craftsman","+25",IF(H40="Monk","+25",0)))</f>
        <v>0</v>
      </c>
      <c r="E54" s="7">
        <f>C54+D54</f>
        <v>0</v>
      </c>
      <c r="F54" s="7">
        <v>2</v>
      </c>
      <c r="H54" t="s">
        <v>66</v>
      </c>
      <c r="K54" t="str">
        <f>IF(E49="Magically Inept","None",IF(E49="Magically Untrained","None",H40))</f>
        <v>None</v>
      </c>
      <c r="M54" s="6">
        <f>IF(E49="Magically Talented","Up to your Fathom-level",IF(E49="Magically Gifted","Up to your Fathom-level +1",IF(E49="Magically Enlightened","Up to your Fathom-level +2",0)))</f>
        <v>0</v>
      </c>
    </row>
    <row r="55" spans="1:11" ht="12.75">
      <c r="A55" t="s">
        <v>67</v>
      </c>
      <c r="C55" s="7">
        <f>FLOOR(E15,5)</f>
        <v>0</v>
      </c>
      <c r="D55" s="7">
        <f>IF(H40="Pathfinder","+15",0)</f>
        <v>0</v>
      </c>
      <c r="E55" s="7">
        <f>C55+D55</f>
        <v>0</v>
      </c>
      <c r="F55" s="7">
        <v>3</v>
      </c>
      <c r="H55" t="s">
        <v>68</v>
      </c>
      <c r="K55" t="str">
        <f>IF(E49="Magically Inept","None",IF(E49="Magically Untrained","None",IF(H40="Demon-hunter","Warrior",IF(H40="Magician","All Educations' Lower magic",IF(H40="Paladin","Warrior",0)))))</f>
        <v>None</v>
      </c>
    </row>
    <row r="56" spans="1:8" ht="12.75">
      <c r="A56" t="s">
        <v>69</v>
      </c>
      <c r="C56" s="7">
        <f>FLOOR(E15,5)</f>
        <v>0</v>
      </c>
      <c r="D56" s="7">
        <f>IF(H40="Healer","+20",IF(H40="Monk","+10",0))</f>
        <v>0</v>
      </c>
      <c r="E56" s="7">
        <f>C56+D56</f>
        <v>0</v>
      </c>
      <c r="F56" s="7">
        <v>4</v>
      </c>
      <c r="H56" s="6">
        <f>IF(H40="Courtesan","One free Entertaining knowledge",IF(H40="Craftsman","Two free Craft-knowledges",IF(H40="Healer","One Contact-level",IF(H40="Leader","One Contact-level",IF(H40="Magician","Lore - 1 level",IF(H40="Monk","Academic knowledge of your own religion",IF(H40="Paladin","Academic knowledge of your own religion",0)))))))</f>
        <v>0</v>
      </c>
    </row>
    <row r="57" spans="1:8" ht="12.75">
      <c r="A57" t="s">
        <v>70</v>
      </c>
      <c r="C57" s="7">
        <f>FLOOR(E15,5)</f>
        <v>0</v>
      </c>
      <c r="D57" s="7">
        <f>IF(H40="Thief","+10",0)</f>
        <v>0</v>
      </c>
      <c r="E57" s="7">
        <f>C57+D57</f>
        <v>0</v>
      </c>
      <c r="F57" s="7">
        <v>3</v>
      </c>
      <c r="H57" s="6">
        <f>IF(H40="Craftsman","Three levels of spoken languages",IF(H40="Leader","Three levels of spoken languages",IF(H40="Paladin","Two levels of read/write native language",IF(H40="Pathfinder","Hunter-level Wilderness-survival",IF(H40="Priest","Academic knowledge of your own religion",IF(H40="Sage","Two free Academic knowledges",IF(H40="Thief","Sign-language (Thieves)",0)))))))</f>
        <v>0</v>
      </c>
    </row>
    <row r="58" spans="1:8" ht="12.75">
      <c r="A58" t="s">
        <v>71</v>
      </c>
      <c r="C58" s="7">
        <f>FLOOR(E15,5)</f>
        <v>0</v>
      </c>
      <c r="D58" s="7">
        <f>IF(H40="Warrior","+10",0)</f>
        <v>0</v>
      </c>
      <c r="E58" s="7">
        <f>C58+D58</f>
        <v>0</v>
      </c>
      <c r="F58" s="7">
        <v>3</v>
      </c>
      <c r="H58" s="6">
        <f>IF(H40="Leader","Geography",IF(H40="Pathfinder","Foretell weather OR Animal-keeping and Contacts (10)",IF(H40="Priest","Counting - 1 level",IF(H40="Sage","Counting - 1 level",0))))</f>
        <v>0</v>
      </c>
    </row>
    <row r="59" spans="1:8" ht="12.75">
      <c r="A59" t="s">
        <v>72</v>
      </c>
      <c r="C59" s="7">
        <f>FLOOR(E19,5)</f>
        <v>0</v>
      </c>
      <c r="D59" s="7">
        <f>IF(H40="Craftsman","+15",IF(H40="Demon-hunter","+25",IF(H40="Monk","+25",0)))</f>
        <v>0</v>
      </c>
      <c r="E59" s="7">
        <f>C59+D59</f>
        <v>0</v>
      </c>
      <c r="F59" s="7">
        <v>2</v>
      </c>
      <c r="H59" s="6">
        <f>IF(H40="Priest","Read/Writing - 1 level (any language)",IF(H40="Sage","Read/Writing - 2 levels (any language/s)",0))</f>
        <v>0</v>
      </c>
    </row>
    <row r="60" spans="1:8" ht="12.75">
      <c r="A60" t="s">
        <v>73</v>
      </c>
      <c r="C60" s="7">
        <f>FLOOR(E15,5)</f>
        <v>0</v>
      </c>
      <c r="D60" s="7">
        <f>IF(H40="Thief","+10",0)</f>
        <v>0</v>
      </c>
      <c r="E60" s="7">
        <f>C60+D60</f>
        <v>0</v>
      </c>
      <c r="F60" s="7">
        <v>4</v>
      </c>
      <c r="H60" s="6">
        <f>IF(H40="Priest","Three levels of spoken languages",0)</f>
        <v>0</v>
      </c>
    </row>
    <row r="61" spans="1:6" ht="12.75">
      <c r="A61" t="s">
        <v>74</v>
      </c>
      <c r="C61" s="7">
        <f>FLOOR(E63,5)</f>
        <v>0</v>
      </c>
      <c r="D61" s="7">
        <v>0</v>
      </c>
      <c r="E61" s="7">
        <f>C61+D61</f>
        <v>0</v>
      </c>
      <c r="F61" s="7">
        <v>4</v>
      </c>
    </row>
    <row r="62" spans="3:6" ht="12.75">
      <c r="C62" s="7"/>
      <c r="D62" s="7"/>
      <c r="E62" s="7"/>
      <c r="F62" s="7"/>
    </row>
    <row r="63" spans="3:6" ht="12.75" hidden="1">
      <c r="C63" s="7">
        <f>E17/2</f>
        <v>0</v>
      </c>
      <c r="D63" s="7">
        <f>E17*4</f>
        <v>0</v>
      </c>
      <c r="E63" s="7">
        <f>IF(C7="Napteri",D63,C63)</f>
        <v>0</v>
      </c>
      <c r="F63" s="7"/>
    </row>
    <row r="64" spans="1:10" ht="12.75">
      <c r="A64" s="3" t="s">
        <v>75</v>
      </c>
      <c r="B64" s="3"/>
      <c r="C64" s="7">
        <f>FLOOR(B70,5)</f>
        <v>0</v>
      </c>
      <c r="D64" s="7">
        <f>IF(H40="Courtesan","+15",0)</f>
        <v>0</v>
      </c>
      <c r="E64" s="7">
        <f>C64+D64</f>
        <v>0</v>
      </c>
      <c r="F64" s="7">
        <v>4</v>
      </c>
      <c r="H64" s="7" t="s">
        <v>10</v>
      </c>
      <c r="I64" s="7">
        <f>B9*3</f>
        <v>0</v>
      </c>
      <c r="J64" s="4" t="s">
        <v>76</v>
      </c>
    </row>
    <row r="65" spans="1:9" ht="12.75">
      <c r="A65" t="s">
        <v>77</v>
      </c>
      <c r="C65" s="7">
        <f>FLOOR(E18,5)</f>
        <v>0</v>
      </c>
      <c r="D65" s="7">
        <f>IF(H40="Craftsman","+5",IF(H40="Leader","+15",IF(H40="Priest","+10",IF(H40="Sage","+10",0))))</f>
        <v>0</v>
      </c>
      <c r="E65" s="7">
        <f>C65+D65</f>
        <v>0</v>
      </c>
      <c r="F65" s="7">
        <v>4</v>
      </c>
      <c r="H65" s="7" t="s">
        <v>78</v>
      </c>
      <c r="I65" s="7">
        <f>SUM(J66:M74)</f>
        <v>0</v>
      </c>
    </row>
    <row r="66" spans="1:13" ht="12.75">
      <c r="A66" t="s">
        <v>79</v>
      </c>
      <c r="C66" s="7">
        <f>FLOOR(C70,5)</f>
        <v>0</v>
      </c>
      <c r="D66" s="7">
        <f>IF(H40="Thief","+10",0)</f>
        <v>0</v>
      </c>
      <c r="E66" s="7">
        <f>C66+D66</f>
        <v>0</v>
      </c>
      <c r="F66" s="7">
        <v>4</v>
      </c>
      <c r="H66" s="7" t="s">
        <v>80</v>
      </c>
      <c r="I66" s="7">
        <f>I64-I65</f>
        <v>0</v>
      </c>
      <c r="J66" s="9"/>
      <c r="K66" s="10"/>
      <c r="L66" s="10"/>
      <c r="M66" s="11"/>
    </row>
    <row r="67" spans="1:13" ht="12.75">
      <c r="A67" s="3" t="s">
        <v>81</v>
      </c>
      <c r="B67" s="3"/>
      <c r="C67" s="7">
        <f>FLOOR(E15,5)</f>
        <v>0</v>
      </c>
      <c r="D67" s="7">
        <f>IF(H40="Courtesan","+20",IF(H40="Thief","+15",0))</f>
        <v>0</v>
      </c>
      <c r="E67" s="7">
        <f>C67+D67</f>
        <v>0</v>
      </c>
      <c r="F67" s="7">
        <v>4</v>
      </c>
      <c r="J67" s="12"/>
      <c r="K67" s="7"/>
      <c r="L67" s="7"/>
      <c r="M67" s="13"/>
    </row>
    <row r="68" spans="1:13" ht="12.75">
      <c r="A68" t="s">
        <v>82</v>
      </c>
      <c r="C68" s="7">
        <f>FLOOR(E15,5)</f>
        <v>0</v>
      </c>
      <c r="D68" s="7">
        <f>IF(H40="Demon-hunter","+20",IF(H40="Pathfinder","+20",0))</f>
        <v>0</v>
      </c>
      <c r="E68" s="7">
        <f>C68+D68</f>
        <v>0</v>
      </c>
      <c r="F68" s="7">
        <v>4</v>
      </c>
      <c r="J68" s="12"/>
      <c r="K68" s="7"/>
      <c r="L68" s="7"/>
      <c r="M68" s="13"/>
    </row>
    <row r="69" spans="1:13" ht="12.75">
      <c r="A69" t="s">
        <v>83</v>
      </c>
      <c r="C69" s="7">
        <f>FLOOR(E15,5)</f>
        <v>0</v>
      </c>
      <c r="D69" s="7">
        <f>IF(H40="Demon-hunter","+15",IF(H40="Pathfinder","+20",IF(H40="Thief","+10",0)))</f>
        <v>0</v>
      </c>
      <c r="E69" s="7">
        <f>C69+D69</f>
        <v>0</v>
      </c>
      <c r="F69" s="7">
        <v>3</v>
      </c>
      <c r="J69" s="12"/>
      <c r="K69" s="7"/>
      <c r="L69" s="7"/>
      <c r="M69" s="13"/>
    </row>
    <row r="70" spans="2:13" ht="12.75" hidden="1">
      <c r="B70" s="6">
        <f>(E20+E18)/2</f>
        <v>0</v>
      </c>
      <c r="C70" s="7">
        <f>(E15/2)</f>
        <v>0</v>
      </c>
      <c r="D70" s="7"/>
      <c r="E70" s="7"/>
      <c r="F70" s="7"/>
      <c r="J70" s="12"/>
      <c r="K70" s="7"/>
      <c r="L70" s="7"/>
      <c r="M70" s="13"/>
    </row>
    <row r="71" spans="3:13" ht="12.75">
      <c r="C71" s="7"/>
      <c r="D71" s="7"/>
      <c r="E71" s="7"/>
      <c r="F71" s="7"/>
      <c r="J71" s="12"/>
      <c r="K71" s="7"/>
      <c r="L71" s="7"/>
      <c r="M71" s="13"/>
    </row>
    <row r="72" spans="1:13" ht="12.75">
      <c r="A72" t="s">
        <v>84</v>
      </c>
      <c r="C72" s="7" t="s">
        <v>85</v>
      </c>
      <c r="D72" s="7">
        <f>IF(H40="Courtesan","+10",IF(H40="Thief","+10",0))</f>
        <v>0</v>
      </c>
      <c r="E72" s="7">
        <f>C72+D72</f>
        <v>0</v>
      </c>
      <c r="F72" s="7">
        <v>4</v>
      </c>
      <c r="J72" s="12"/>
      <c r="K72" s="7"/>
      <c r="L72" s="7"/>
      <c r="M72" s="13"/>
    </row>
    <row r="73" spans="1:13" ht="12.75">
      <c r="A73" t="s">
        <v>86</v>
      </c>
      <c r="C73" s="7" t="s">
        <v>85</v>
      </c>
      <c r="D73" s="7">
        <f>IF(H40="Courtesan","+15",0)</f>
        <v>0</v>
      </c>
      <c r="E73" s="7">
        <f>C73+D73</f>
        <v>0</v>
      </c>
      <c r="F73" s="7">
        <v>3</v>
      </c>
      <c r="J73" s="12"/>
      <c r="K73" s="7"/>
      <c r="L73" s="7"/>
      <c r="M73" s="13"/>
    </row>
    <row r="74" spans="1:13" ht="12.75">
      <c r="A74" t="s">
        <v>87</v>
      </c>
      <c r="C74" s="7" t="s">
        <v>85</v>
      </c>
      <c r="D74" s="7">
        <f>IF(H40="Healer","+40",0)</f>
        <v>0</v>
      </c>
      <c r="E74" s="7">
        <f>C74+D74</f>
        <v>0</v>
      </c>
      <c r="F74" s="7">
        <v>5</v>
      </c>
      <c r="J74" s="14"/>
      <c r="K74" s="15"/>
      <c r="L74" s="15"/>
      <c r="M74" s="16"/>
    </row>
    <row r="75" spans="1:6" ht="12.75">
      <c r="A75" t="s">
        <v>88</v>
      </c>
      <c r="C75" s="7" t="s">
        <v>85</v>
      </c>
      <c r="D75" s="7">
        <f>IF(H40="Demon-hunter","+10",IF(H40="Thief","+10",0))</f>
        <v>0</v>
      </c>
      <c r="E75" s="7">
        <f>C75+D75</f>
        <v>0</v>
      </c>
      <c r="F75" s="7">
        <v>3</v>
      </c>
    </row>
    <row r="76" spans="1:6" ht="12.75">
      <c r="A76" t="s">
        <v>89</v>
      </c>
      <c r="C76" s="7" t="s">
        <v>85</v>
      </c>
      <c r="D76" s="7">
        <f>IF(H40="Leader","+10",0)</f>
        <v>0</v>
      </c>
      <c r="E76" s="7">
        <f>C76+D76</f>
        <v>0</v>
      </c>
      <c r="F76" s="7">
        <v>5</v>
      </c>
    </row>
    <row r="77" spans="3:6" ht="12.75">
      <c r="C77" s="7"/>
      <c r="D77" s="7"/>
      <c r="E77" s="7"/>
      <c r="F77" s="7"/>
    </row>
    <row r="78" spans="1:6" ht="12.75">
      <c r="A78" t="s">
        <v>90</v>
      </c>
      <c r="C78" s="7" t="s">
        <v>85</v>
      </c>
      <c r="D78" s="7">
        <f>IF(H40="Magician","+15",0)</f>
        <v>0</v>
      </c>
      <c r="E78" s="7">
        <f>C78+D78</f>
        <v>0</v>
      </c>
      <c r="F78" s="7">
        <v>8</v>
      </c>
    </row>
    <row r="79" spans="1:6" ht="12.75">
      <c r="A79" t="s">
        <v>91</v>
      </c>
      <c r="C79" s="7" t="s">
        <v>85</v>
      </c>
      <c r="D79" s="7">
        <f>IF(H40="Magician","+35",0)</f>
        <v>0</v>
      </c>
      <c r="E79" s="7">
        <f>C79+D79</f>
        <v>0</v>
      </c>
      <c r="F79" s="7">
        <v>7</v>
      </c>
    </row>
    <row r="80" spans="3:6" ht="12.75">
      <c r="C80" s="7"/>
      <c r="D80" s="7"/>
      <c r="E80" s="7"/>
      <c r="F80" s="7"/>
    </row>
    <row r="81" spans="1:6" ht="12.75">
      <c r="A81" t="s">
        <v>92</v>
      </c>
      <c r="C81" s="7">
        <f>FLOOR(E14+E15,5)</f>
        <v>0</v>
      </c>
      <c r="D81" s="7">
        <v>0</v>
      </c>
      <c r="E81" s="7">
        <f>C81+D81</f>
        <v>0</v>
      </c>
      <c r="F81" s="7">
        <v>3</v>
      </c>
    </row>
    <row r="82" spans="1:6" ht="12.75">
      <c r="A82" t="s">
        <v>93</v>
      </c>
      <c r="C82" s="7" t="s">
        <v>85</v>
      </c>
      <c r="D82" s="7">
        <v>0</v>
      </c>
      <c r="E82" s="7">
        <f>C82+D82</f>
        <v>0</v>
      </c>
      <c r="F82" s="7">
        <v>4</v>
      </c>
    </row>
    <row r="83" spans="1:6" ht="12.75">
      <c r="A83" t="s">
        <v>94</v>
      </c>
      <c r="C83" s="7">
        <f>FLOOR(E16,5)</f>
        <v>0</v>
      </c>
      <c r="D83" s="7">
        <f>IF(H40="Paladin","+5",IF(H40="Warrior","+5",0))</f>
        <v>0</v>
      </c>
      <c r="E83" s="7">
        <f>C83+D83</f>
        <v>0</v>
      </c>
      <c r="F83" s="7">
        <v>6</v>
      </c>
    </row>
    <row r="84" spans="1:6" ht="12.75">
      <c r="A84" t="s">
        <v>95</v>
      </c>
      <c r="C84" s="7">
        <f>FLOOR(E16,5)</f>
        <v>0</v>
      </c>
      <c r="D84" s="7">
        <f>IF(H40="Warrior","+5",0)</f>
        <v>0</v>
      </c>
      <c r="E84" s="7">
        <f>C84+D84</f>
        <v>0</v>
      </c>
      <c r="F84" s="7">
        <v>8</v>
      </c>
    </row>
    <row r="85" spans="1:6" ht="12.75">
      <c r="A85" t="s">
        <v>96</v>
      </c>
      <c r="C85" s="7">
        <f>FLOOR(B88,5)</f>
        <v>0</v>
      </c>
      <c r="D85" s="7">
        <f>IF(H40="Warrior","+10",0)</f>
        <v>0</v>
      </c>
      <c r="E85" s="7">
        <f>C85+D85</f>
        <v>0</v>
      </c>
      <c r="F85" s="7">
        <v>3</v>
      </c>
    </row>
    <row r="86" spans="1:6" ht="12.75">
      <c r="A86" t="s">
        <v>97</v>
      </c>
      <c r="C86" s="7">
        <f>FLOOR(E15,5)</f>
        <v>0</v>
      </c>
      <c r="D86" s="7">
        <f>IF(H40="Paladin","+10",0)</f>
        <v>0</v>
      </c>
      <c r="E86" s="7">
        <f>C86+D86</f>
        <v>0</v>
      </c>
      <c r="F86" s="7">
        <v>4</v>
      </c>
    </row>
    <row r="87" spans="1:6" ht="12.75">
      <c r="A87" t="s">
        <v>98</v>
      </c>
      <c r="C87" s="7">
        <f>FLOOR(E15,5)</f>
        <v>0</v>
      </c>
      <c r="D87" s="7">
        <f>IF(H40="Demon-hunter","+15",IF(H40="Paladin","+40",IF(H40="Warrior","+30",0)))</f>
        <v>0</v>
      </c>
      <c r="E87" s="7">
        <f>C87+D87</f>
        <v>0</v>
      </c>
      <c r="F87" s="7">
        <v>4</v>
      </c>
    </row>
    <row r="88" ht="12.75" hidden="1">
      <c r="B88" s="6">
        <f>(E15+E16)/2</f>
        <v>0</v>
      </c>
    </row>
    <row r="93" spans="1:5" ht="12.75">
      <c r="A93" s="4" t="s">
        <v>99</v>
      </c>
      <c r="C93" s="5"/>
      <c r="D93" s="8" t="s">
        <v>100</v>
      </c>
      <c r="E93" s="7">
        <f>IF(C93=0,0,IF(C93&lt;2,"Slave",IF(C93&lt;4,"Serf",IF(C93&lt;6,"Low",IF(C93&lt;8,"Middle",IF(C93&lt;10,"High","Noble"))))))</f>
        <v>0</v>
      </c>
    </row>
    <row r="95" spans="1:7" ht="12.75">
      <c r="A95" t="s">
        <v>101</v>
      </c>
      <c r="B95" s="7">
        <f>IF(E93=0,0,IF(E93="Slave","1D10",IF(E93="Serf","1D10","2D10")))</f>
        <v>0</v>
      </c>
      <c r="C95" s="5"/>
      <c r="D95" s="8" t="s">
        <v>102</v>
      </c>
      <c r="E95" s="8"/>
      <c r="F95" s="17">
        <f>(C95*A96*B96*C96)</f>
        <v>0</v>
      </c>
      <c r="G95" t="s">
        <v>103</v>
      </c>
    </row>
    <row r="96" spans="1:3" ht="12.75" hidden="1">
      <c r="A96" s="18">
        <f>IF(F6="Salgod","180",IF(F6="Napteri","50",IF(F6="Laaner","80",IF(F6="Baufer","120",IF(F6="Bamfyver","200","100")))))/100</f>
        <v>1</v>
      </c>
      <c r="B96" s="18">
        <f>IF(A10="Young","50",IF(A10="Middle-age","150",IF(A10="Old","200","100")))/100</f>
        <v>1</v>
      </c>
      <c r="C96" s="6">
        <f>IF(E93="Slave","50",IF(E93="Middle","200",IF(E93="High","300",IF(E93="Noble","500","100"))))/100</f>
        <v>1</v>
      </c>
    </row>
    <row r="97" ht="12.75">
      <c r="G97" t="s">
        <v>104</v>
      </c>
    </row>
    <row r="98" spans="1:5" ht="12.75">
      <c r="A98" s="4" t="s">
        <v>105</v>
      </c>
      <c r="C98" s="5"/>
      <c r="E98" s="7">
        <f>IF(C98=0,0,IF(C98&lt;3,"Ambidexterous",IF(C98&lt;5,"Double",IF(C98&lt;8,"Left",IF(C98&lt;15,"Right",IF(C98&lt;18,"Left",IF(C98&lt;20,"Double",IF(C98=20,"Ambidextrous"))))))))</f>
        <v>0</v>
      </c>
    </row>
  </sheetData>
  <sheetProtection selectLockedCells="1" selectUnlockedCells="1"/>
  <mergeCells count="5">
    <mergeCell ref="A4:I4"/>
    <mergeCell ref="F53:G53"/>
    <mergeCell ref="A64:B64"/>
    <mergeCell ref="A67:B67"/>
    <mergeCell ref="D95:E9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2011-05-18T18:49:26Z</dcterms:created>
  <dcterms:modified xsi:type="dcterms:W3CDTF">2011-06-23T22:08:59Z</dcterms:modified>
  <cp:category/>
  <cp:version/>
  <cp:contentType/>
  <cp:contentStatus/>
  <cp:revision>71</cp:revision>
</cp:coreProperties>
</file>